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A" sheetId="1" r:id="rId1"/>
    <sheet name="B" sheetId="2" r:id="rId2"/>
  </sheets>
  <definedNames>
    <definedName name="_xlnm.Print_Area" localSheetId="0">'A'!$B$1:$G$52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<sst xmlns="http://schemas.openxmlformats.org/spreadsheetml/2006/main" count="175" uniqueCount="153">
  <si>
    <t>STD. BUSH CALCULATION ONLY</t>
  </si>
  <si>
    <t xml:space="preserve">TODAY:- </t>
  </si>
  <si>
    <t xml:space="preserve">ENQUIRY NUMBER </t>
  </si>
  <si>
    <t>FAX</t>
  </si>
  <si>
    <t>Input by:-</t>
  </si>
  <si>
    <t>DJH</t>
  </si>
  <si>
    <t xml:space="preserve">Customer </t>
  </si>
  <si>
    <t>VOLTAS1</t>
  </si>
  <si>
    <t xml:space="preserve">Dwg No </t>
  </si>
  <si>
    <t>4 282 19 6000</t>
  </si>
  <si>
    <t>T127</t>
  </si>
  <si>
    <t>M</t>
  </si>
  <si>
    <t>&lt;INPUT M or I for mm or inches</t>
  </si>
  <si>
    <t xml:space="preserve">Housing Max.(Hmax=) </t>
  </si>
  <si>
    <t xml:space="preserve">Housing Min.(Hmin=) </t>
  </si>
  <si>
    <t xml:space="preserve">Shaft Max. (Dmax=) </t>
  </si>
  <si>
    <t xml:space="preserve">Shaft Min. (D min=) </t>
  </si>
  <si>
    <t xml:space="preserve">Bush Length (L=) </t>
  </si>
  <si>
    <t>+/-0.1</t>
  </si>
  <si>
    <t xml:space="preserve"> (&lt;min length or tolerance)</t>
  </si>
  <si>
    <t xml:space="preserve">Load ( kgs) </t>
  </si>
  <si>
    <t xml:space="preserve">Speed (RPM) </t>
  </si>
  <si>
    <t xml:space="preserve">PV (kg/cm^2.m/min)= </t>
  </si>
  <si>
    <t>c:a1</t>
  </si>
  <si>
    <t xml:space="preserve">Lubrication </t>
  </si>
  <si>
    <t xml:space="preserve"> &lt; Enter W for Water ; O for Oil ; G for Grease; D for Dry</t>
  </si>
  <si>
    <t xml:space="preserve">Temperature deg C </t>
  </si>
  <si>
    <t xml:space="preserve">Min.Interference (I MIN) </t>
  </si>
  <si>
    <t xml:space="preserve"> From  GRAPH 1</t>
  </si>
  <si>
    <t xml:space="preserve">M/C Allowance (M/C MIN) </t>
  </si>
  <si>
    <t xml:space="preserve"> From  GRAPH 2</t>
  </si>
  <si>
    <t xml:space="preserve">OD MIN   </t>
  </si>
  <si>
    <t xml:space="preserve"> HMAX+IMIN</t>
  </si>
  <si>
    <t xml:space="preserve">OD MAX </t>
  </si>
  <si>
    <t xml:space="preserve"> O/DMIN+M/C</t>
  </si>
  <si>
    <t xml:space="preserve">Max Interference (I MAX.) </t>
  </si>
  <si>
    <t xml:space="preserve"> ODMAX-HMIN</t>
  </si>
  <si>
    <t xml:space="preserve">Run. Clearance (R/C) from Graph 3 </t>
  </si>
  <si>
    <t xml:space="preserve"> Y  FOR CLOSE RC / N FOR  MID RANGE RC</t>
  </si>
  <si>
    <t>Y</t>
  </si>
  <si>
    <t xml:space="preserve">Alt Desired min Run. Clearance </t>
  </si>
  <si>
    <t xml:space="preserve">Swell Allowance(S/A) </t>
  </si>
  <si>
    <t>S/P From Table 2 (0.x%)</t>
  </si>
  <si>
    <t xml:space="preserve">Thermal Expansion(T/E) </t>
  </si>
  <si>
    <t>bcf</t>
  </si>
  <si>
    <t>S/E From Table 3 (0.x%)</t>
  </si>
  <si>
    <t xml:space="preserve">Bore Closure (BCF) From Graph 3 </t>
  </si>
  <si>
    <t xml:space="preserve">C of EX.  Brochure (X.X) </t>
  </si>
  <si>
    <t>chck</t>
  </si>
  <si>
    <t xml:space="preserve">Temp Rise Above 20 C   </t>
  </si>
  <si>
    <t xml:space="preserve"> From GRAPH 2</t>
  </si>
  <si>
    <t xml:space="preserve">ID MIN  </t>
  </si>
  <si>
    <t xml:space="preserve"> DMAX+RC+SW+TE+BCF</t>
  </si>
  <si>
    <t xml:space="preserve">ID MAX </t>
  </si>
  <si>
    <t xml:space="preserve"> IDMIN+M/C</t>
  </si>
  <si>
    <t>BUSH DESIGN :</t>
  </si>
  <si>
    <t>maximum</t>
  </si>
  <si>
    <t>minimum</t>
  </si>
  <si>
    <t>OUTSIDE DIAMETER (O/D)</t>
  </si>
  <si>
    <t>INSIDE DIAMETER (I/D)</t>
  </si>
  <si>
    <t>LENGTH  nominal (mm)</t>
  </si>
  <si>
    <t>I/D FITTED CONDITIONS</t>
  </si>
  <si>
    <t>MINIMUM</t>
  </si>
  <si>
    <t>MAXIMUM</t>
  </si>
  <si>
    <t xml:space="preserve">O/D MAX </t>
  </si>
  <si>
    <t xml:space="preserve">O/D MIN  </t>
  </si>
  <si>
    <t xml:space="preserve">-HOUSING MIN (Hmin) </t>
  </si>
  <si>
    <t xml:space="preserve">-HOUSING MAX. (Hmax) </t>
  </si>
  <si>
    <t xml:space="preserve">gives I max </t>
  </si>
  <si>
    <t xml:space="preserve">gives I min </t>
  </si>
  <si>
    <t xml:space="preserve"> X BCF </t>
  </si>
  <si>
    <t xml:space="preserve">X BCF </t>
  </si>
  <si>
    <t xml:space="preserve">gives BC max </t>
  </si>
  <si>
    <t xml:space="preserve">gives BC min </t>
  </si>
  <si>
    <t xml:space="preserve">from I/D min </t>
  </si>
  <si>
    <t xml:space="preserve">from I/D max  </t>
  </si>
  <si>
    <t xml:space="preserve">gives I/D fitted min </t>
  </si>
  <si>
    <t xml:space="preserve">gives I/D fitted max </t>
  </si>
  <si>
    <t xml:space="preserve">less S/A </t>
  </si>
  <si>
    <t xml:space="preserve">gives I/D fitted wet min </t>
  </si>
  <si>
    <t xml:space="preserve">gives I/D fitted wet max  </t>
  </si>
  <si>
    <t xml:space="preserve">less T/E </t>
  </si>
  <si>
    <t xml:space="preserve">less T/E  </t>
  </si>
  <si>
    <t xml:space="preserve">gives I/D fitted at temp </t>
  </si>
  <si>
    <t xml:space="preserve">less D max </t>
  </si>
  <si>
    <t xml:space="preserve">less D min  </t>
  </si>
  <si>
    <t xml:space="preserve">gives RC min </t>
  </si>
  <si>
    <t xml:space="preserve">gives RC max </t>
  </si>
  <si>
    <t>FOR NORMAL BEARINGS ONLY NO CHANGE TO PROGRAM ALLOWED</t>
  </si>
  <si>
    <t>1 = normal, 0 = machine in situ'</t>
  </si>
  <si>
    <t>grooving</t>
  </si>
  <si>
    <t>g=1/3wall</t>
  </si>
  <si>
    <t>w=2.5g</t>
  </si>
  <si>
    <t>alt w by shaft diam</t>
  </si>
  <si>
    <t>nog marine ie no 6 o'clock</t>
  </si>
  <si>
    <t>20-79</t>
  </si>
  <si>
    <t>add one more for std</t>
  </si>
  <si>
    <t>80-159</t>
  </si>
  <si>
    <t>160-239</t>
  </si>
  <si>
    <t>240-319</t>
  </si>
  <si>
    <t>320-399</t>
  </si>
  <si>
    <t>400-479</t>
  </si>
  <si>
    <t>480-559</t>
  </si>
  <si>
    <t>560-639</t>
  </si>
  <si>
    <t>640-719</t>
  </si>
  <si>
    <t>720-799</t>
  </si>
  <si>
    <t>800-879</t>
  </si>
  <si>
    <t>880-959</t>
  </si>
  <si>
    <t>960-1000</t>
  </si>
  <si>
    <t>STD INTERFERENCE</t>
  </si>
  <si>
    <t>bcf%</t>
  </si>
  <si>
    <t>DIAM</t>
  </si>
  <si>
    <t>T</t>
  </si>
  <si>
    <t>F</t>
  </si>
  <si>
    <t>TOLER</t>
  </si>
  <si>
    <t>PV CALCULATION</t>
  </si>
  <si>
    <t>L/D</t>
  </si>
  <si>
    <t>T14/t147</t>
  </si>
  <si>
    <t>T11/T117</t>
  </si>
  <si>
    <t>T12/T127</t>
  </si>
  <si>
    <t>F24</t>
  </si>
  <si>
    <t>F21</t>
  </si>
  <si>
    <t>F36</t>
  </si>
  <si>
    <t>F363</t>
  </si>
  <si>
    <t>T814</t>
  </si>
  <si>
    <t>RATIO</t>
  </si>
  <si>
    <t>P=</t>
  </si>
  <si>
    <t>V=</t>
  </si>
  <si>
    <t>W</t>
  </si>
  <si>
    <t>PV=</t>
  </si>
  <si>
    <t>T14</t>
  </si>
  <si>
    <t>T11</t>
  </si>
  <si>
    <t>T12</t>
  </si>
  <si>
    <t>T147</t>
  </si>
  <si>
    <t>T117</t>
  </si>
  <si>
    <t>standard m'cing OD</t>
  </si>
  <si>
    <t>standard m'cing ID</t>
  </si>
  <si>
    <t>RC=</t>
  </si>
  <si>
    <t>high &amp; speed</t>
  </si>
  <si>
    <t>slow speed</t>
  </si>
  <si>
    <t>mid &amp; water jet ETC</t>
  </si>
  <si>
    <t>BCF</t>
  </si>
  <si>
    <t>ACT WALL</t>
  </si>
  <si>
    <t>=BCF%</t>
  </si>
  <si>
    <t>OPWALL=</t>
  </si>
  <si>
    <t>SHAFT=</t>
  </si>
  <si>
    <t>Warning too thin</t>
  </si>
  <si>
    <t>TOO THIN</t>
  </si>
  <si>
    <t>OK</t>
  </si>
  <si>
    <t>TOO THICK</t>
  </si>
  <si>
    <t>T THIN WALL x</t>
  </si>
  <si>
    <t>FORM BCALC by DJH27/11/03</t>
  </si>
  <si>
    <t xml:space="preserve"> Capitals only GRADE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</si>
</sst>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m\-yy"/>
    <numFmt numFmtId="173" formatCode="0.000"/>
    <numFmt numFmtId="174" formatCode="0.0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u val="single"/>
      <sz val="10"/>
      <color indexed="8"/>
      <name val="Arial"/>
      <family val="0"/>
    </font>
    <font>
      <sz val="6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12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i/>
      <u val="single"/>
      <sz val="12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2" borderId="1" xfId="0" applyNumberFormat="1" applyFont="1" applyFill="1" applyAlignment="1">
      <alignment horizontal="left"/>
    </xf>
    <xf numFmtId="0" fontId="4" fillId="2" borderId="2" xfId="0" applyNumberFormat="1" applyFont="1" applyFill="1" applyAlignment="1">
      <alignment/>
    </xf>
    <xf numFmtId="0" fontId="5" fillId="0" borderId="1" xfId="0" applyNumberFormat="1" applyFont="1" applyAlignment="1">
      <alignment horizontal="right"/>
    </xf>
    <xf numFmtId="172" fontId="5" fillId="0" borderId="2" xfId="0" applyNumberFormat="1" applyFont="1" applyAlignment="1">
      <alignment horizontal="left"/>
    </xf>
    <xf numFmtId="20" fontId="5" fillId="3" borderId="1" xfId="0" applyNumberFormat="1" applyFont="1" applyFill="1" applyAlignment="1">
      <alignment/>
    </xf>
    <xf numFmtId="0" fontId="5" fillId="0" borderId="3" xfId="0" applyNumberFormat="1" applyFont="1" applyAlignment="1">
      <alignment/>
    </xf>
    <xf numFmtId="0" fontId="6" fillId="0" borderId="1" xfId="0" applyNumberFormat="1" applyFont="1" applyAlignment="1">
      <alignment horizontal="right"/>
    </xf>
    <xf numFmtId="173" fontId="5" fillId="4" borderId="1" xfId="0" applyNumberFormat="1" applyFont="1" applyFill="1" applyAlignment="1">
      <alignment/>
    </xf>
    <xf numFmtId="0" fontId="5" fillId="4" borderId="1" xfId="0" applyNumberFormat="1" applyFont="1" applyFill="1" applyAlignment="1">
      <alignment/>
    </xf>
    <xf numFmtId="0" fontId="5" fillId="4" borderId="2" xfId="0" applyNumberFormat="1" applyFont="1" applyFill="1" applyAlignment="1">
      <alignment/>
    </xf>
    <xf numFmtId="0" fontId="6" fillId="0" borderId="3" xfId="0" applyNumberFormat="1" applyFont="1" applyAlignment="1">
      <alignment horizontal="right"/>
    </xf>
    <xf numFmtId="0" fontId="5" fillId="4" borderId="2" xfId="0" applyNumberFormat="1" applyFont="1" applyFill="1" applyAlignment="1">
      <alignment/>
    </xf>
    <xf numFmtId="0" fontId="5" fillId="4" borderId="3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5" fillId="4" borderId="0" xfId="0" applyNumberFormat="1" applyFont="1" applyFill="1" applyAlignment="1">
      <alignment horizontal="right"/>
    </xf>
    <xf numFmtId="0" fontId="5" fillId="2" borderId="3" xfId="0" applyNumberFormat="1" applyFont="1" applyFill="1" applyAlignment="1">
      <alignment horizontal="right"/>
    </xf>
    <xf numFmtId="173" fontId="5" fillId="4" borderId="1" xfId="0" applyNumberFormat="1" applyFont="1" applyFill="1" applyAlignment="1">
      <alignment horizontal="center"/>
    </xf>
    <xf numFmtId="0" fontId="5" fillId="4" borderId="1" xfId="0" applyNumberFormat="1" applyFont="1" applyFill="1" applyAlignment="1">
      <alignment horizontal="center"/>
    </xf>
    <xf numFmtId="0" fontId="5" fillId="2" borderId="1" xfId="0" applyNumberFormat="1" applyFont="1" applyFill="1" applyAlignment="1">
      <alignment/>
    </xf>
    <xf numFmtId="0" fontId="5" fillId="2" borderId="2" xfId="0" applyNumberFormat="1" applyFont="1" applyFill="1" applyAlignment="1">
      <alignment/>
    </xf>
    <xf numFmtId="0" fontId="5" fillId="4" borderId="1" xfId="0" applyNumberFormat="1" applyFont="1" applyFill="1" applyAlignment="1">
      <alignment horizontal="center"/>
    </xf>
    <xf numFmtId="0" fontId="7" fillId="2" borderId="1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2" borderId="3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2" fontId="5" fillId="4" borderId="1" xfId="0" applyNumberFormat="1" applyFont="1" applyFill="1" applyAlignment="1">
      <alignment/>
    </xf>
    <xf numFmtId="0" fontId="5" fillId="2" borderId="3" xfId="0" applyNumberFormat="1" applyFont="1" applyFill="1" applyAlignment="1">
      <alignment/>
    </xf>
    <xf numFmtId="174" fontId="5" fillId="4" borderId="1" xfId="0" applyNumberFormat="1" applyFont="1" applyFill="1" applyAlignment="1">
      <alignment horizontal="center"/>
    </xf>
    <xf numFmtId="2" fontId="5" fillId="0" borderId="1" xfId="0" applyNumberFormat="1" applyFont="1" applyAlignment="1">
      <alignment horizontal="left"/>
    </xf>
    <xf numFmtId="2" fontId="5" fillId="0" borderId="3" xfId="0" applyNumberFormat="1" applyFont="1" applyAlignment="1">
      <alignment horizontal="left"/>
    </xf>
    <xf numFmtId="0" fontId="5" fillId="0" borderId="3" xfId="0" applyNumberFormat="1" applyFont="1" applyAlignment="1">
      <alignment horizontal="right"/>
    </xf>
    <xf numFmtId="2" fontId="6" fillId="0" borderId="1" xfId="0" applyNumberFormat="1" applyFont="1" applyAlignment="1">
      <alignment horizontal="left"/>
    </xf>
    <xf numFmtId="0" fontId="6" fillId="2" borderId="3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/>
    </xf>
    <xf numFmtId="0" fontId="6" fillId="2" borderId="1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173" fontId="0" fillId="0" borderId="1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173" fontId="5" fillId="0" borderId="3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0" fontId="6" fillId="2" borderId="1" xfId="0" applyNumberFormat="1" applyFont="1" applyFill="1" applyAlignment="1">
      <alignment horizontal="right"/>
    </xf>
    <xf numFmtId="173" fontId="5" fillId="2" borderId="1" xfId="0" applyNumberFormat="1" applyFont="1" applyFill="1" applyAlignment="1">
      <alignment/>
    </xf>
    <xf numFmtId="173" fontId="5" fillId="2" borderId="3" xfId="0" applyNumberFormat="1" applyFont="1" applyFill="1" applyAlignment="1">
      <alignment/>
    </xf>
    <xf numFmtId="0" fontId="6" fillId="5" borderId="3" xfId="0" applyNumberFormat="1" applyFont="1" applyFill="1" applyAlignment="1">
      <alignment/>
    </xf>
    <xf numFmtId="173" fontId="5" fillId="5" borderId="3" xfId="0" applyNumberFormat="1" applyFont="1" applyFill="1" applyAlignment="1">
      <alignment/>
    </xf>
    <xf numFmtId="173" fontId="5" fillId="0" borderId="1" xfId="0" applyNumberFormat="1" applyFont="1" applyAlignment="1">
      <alignment horizontal="center"/>
    </xf>
    <xf numFmtId="0" fontId="8" fillId="5" borderId="1" xfId="0" applyNumberFormat="1" applyFont="1" applyFill="1" applyAlignment="1">
      <alignment/>
    </xf>
    <xf numFmtId="0" fontId="5" fillId="5" borderId="2" xfId="0" applyNumberFormat="1" applyFont="1" applyFill="1" applyAlignment="1">
      <alignment/>
    </xf>
    <xf numFmtId="0" fontId="9" fillId="5" borderId="1" xfId="0" applyNumberFormat="1" applyFont="1" applyFill="1" applyAlignment="1">
      <alignment horizontal="center"/>
    </xf>
    <xf numFmtId="0" fontId="0" fillId="0" borderId="3" xfId="0" applyAlignment="1">
      <alignment horizontal="right"/>
    </xf>
    <xf numFmtId="0" fontId="5" fillId="5" borderId="1" xfId="0" applyNumberFormat="1" applyFont="1" applyFill="1" applyAlignment="1">
      <alignment/>
    </xf>
    <xf numFmtId="0" fontId="5" fillId="0" borderId="2" xfId="0" applyNumberFormat="1" applyFont="1" applyAlignment="1">
      <alignment/>
    </xf>
    <xf numFmtId="0" fontId="5" fillId="5" borderId="3" xfId="0" applyNumberFormat="1" applyFont="1" applyFill="1" applyAlignment="1">
      <alignment/>
    </xf>
    <xf numFmtId="0" fontId="5" fillId="3" borderId="3" xfId="0" applyNumberFormat="1" applyFont="1" applyFill="1" applyAlignment="1">
      <alignment/>
    </xf>
    <xf numFmtId="173" fontId="5" fillId="0" borderId="1" xfId="0" applyNumberFormat="1" applyFont="1" applyAlignment="1">
      <alignment horizontal="left"/>
    </xf>
    <xf numFmtId="0" fontId="0" fillId="0" borderId="3" xfId="0" applyAlignment="1">
      <alignment/>
    </xf>
    <xf numFmtId="0" fontId="5" fillId="3" borderId="3" xfId="0" applyNumberFormat="1" applyFont="1" applyFill="1" applyAlignment="1">
      <alignment horizontal="center"/>
    </xf>
    <xf numFmtId="173" fontId="5" fillId="0" borderId="3" xfId="0" applyNumberFormat="1" applyFont="1" applyAlignment="1">
      <alignment horizontal="left"/>
    </xf>
    <xf numFmtId="0" fontId="10" fillId="2" borderId="3" xfId="0" applyFont="1" applyFill="1" applyAlignment="1">
      <alignment horizontal="center"/>
    </xf>
    <xf numFmtId="173" fontId="11" fillId="0" borderId="3" xfId="0" applyNumberFormat="1" applyFont="1" applyAlignment="1">
      <alignment horizontal="center"/>
    </xf>
    <xf numFmtId="173" fontId="5" fillId="2" borderId="1" xfId="0" applyNumberFormat="1" applyFont="1" applyFill="1" applyAlignment="1">
      <alignment horizontal="right"/>
    </xf>
    <xf numFmtId="0" fontId="5" fillId="2" borderId="2" xfId="0" applyNumberFormat="1" applyFont="1" applyFill="1" applyAlignment="1">
      <alignment horizontal="center"/>
    </xf>
    <xf numFmtId="173" fontId="5" fillId="0" borderId="0" xfId="0" applyNumberFormat="1" applyFont="1" applyAlignment="1">
      <alignment/>
    </xf>
    <xf numFmtId="0" fontId="6" fillId="3" borderId="1" xfId="0" applyNumberFormat="1" applyFont="1" applyFill="1" applyAlignment="1">
      <alignment horizontal="right"/>
    </xf>
    <xf numFmtId="2" fontId="5" fillId="3" borderId="2" xfId="0" applyNumberFormat="1" applyFont="1" applyFill="1" applyAlignment="1">
      <alignment/>
    </xf>
    <xf numFmtId="0" fontId="5" fillId="3" borderId="2" xfId="0" applyNumberFormat="1" applyFont="1" applyFill="1" applyAlignment="1">
      <alignment/>
    </xf>
    <xf numFmtId="173" fontId="5" fillId="2" borderId="2" xfId="0" applyNumberFormat="1" applyFont="1" applyFill="1" applyAlignment="1">
      <alignment/>
    </xf>
    <xf numFmtId="0" fontId="12" fillId="6" borderId="3" xfId="0" applyNumberFormat="1" applyFont="1" applyFill="1" applyAlignment="1">
      <alignment horizontal="right"/>
    </xf>
    <xf numFmtId="2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3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5" fillId="6" borderId="0" xfId="0" applyNumberFormat="1" applyFont="1" applyFill="1" applyAlignment="1">
      <alignment horizontal="center"/>
    </xf>
    <xf numFmtId="0" fontId="5" fillId="6" borderId="1" xfId="0" applyNumberFormat="1" applyFont="1" applyFill="1" applyAlignment="1">
      <alignment horizontal="center"/>
    </xf>
    <xf numFmtId="173" fontId="5" fillId="6" borderId="2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5" fillId="0" borderId="3" xfId="0" applyNumberFormat="1" applyFont="1" applyAlignment="1">
      <alignment/>
    </xf>
    <xf numFmtId="0" fontId="5" fillId="3" borderId="3" xfId="0" applyNumberFormat="1" applyFont="1" applyFill="1" applyAlignment="1">
      <alignment horizontal="right"/>
    </xf>
    <xf numFmtId="2" fontId="5" fillId="3" borderId="0" xfId="0" applyNumberFormat="1" applyFont="1" applyFill="1" applyAlignment="1">
      <alignment/>
    </xf>
    <xf numFmtId="0" fontId="12" fillId="2" borderId="1" xfId="0" applyNumberFormat="1" applyFont="1" applyFill="1" applyAlignment="1">
      <alignment/>
    </xf>
    <xf numFmtId="2" fontId="5" fillId="2" borderId="2" xfId="0" applyNumberFormat="1" applyFont="1" applyFill="1" applyAlignment="1">
      <alignment/>
    </xf>
    <xf numFmtId="0" fontId="5" fillId="2" borderId="2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2" fontId="5" fillId="2" borderId="0" xfId="0" applyNumberFormat="1" applyFont="1" applyFill="1" applyAlignment="1">
      <alignment horizontal="center"/>
    </xf>
    <xf numFmtId="173" fontId="5" fillId="6" borderId="1" xfId="0" applyNumberFormat="1" applyFont="1" applyFill="1" applyAlignment="1">
      <alignment/>
    </xf>
    <xf numFmtId="173" fontId="5" fillId="6" borderId="3" xfId="0" applyNumberFormat="1" applyFont="1" applyFill="1" applyAlignment="1">
      <alignment/>
    </xf>
    <xf numFmtId="2" fontId="5" fillId="2" borderId="3" xfId="0" applyNumberFormat="1" applyFont="1" applyFill="1" applyAlignment="1">
      <alignment/>
    </xf>
    <xf numFmtId="2" fontId="6" fillId="0" borderId="3" xfId="0" applyNumberFormat="1" applyFont="1" applyAlignment="1">
      <alignment horizontal="right"/>
    </xf>
    <xf numFmtId="173" fontId="5" fillId="0" borderId="2" xfId="0" applyNumberFormat="1" applyFont="1" applyAlignment="1">
      <alignment/>
    </xf>
    <xf numFmtId="0" fontId="14" fillId="0" borderId="2" xfId="0" applyNumberFormat="1" applyFont="1" applyAlignment="1">
      <alignment/>
    </xf>
    <xf numFmtId="0" fontId="0" fillId="0" borderId="2" xfId="0" applyFont="1" applyAlignment="1">
      <alignment/>
    </xf>
    <xf numFmtId="0" fontId="0" fillId="0" borderId="2" xfId="0" applyNumberFormat="1" applyAlignment="1">
      <alignment/>
    </xf>
    <xf numFmtId="0" fontId="15" fillId="2" borderId="2" xfId="0" applyFont="1" applyFill="1" applyAlignment="1">
      <alignment horizontal="center"/>
    </xf>
    <xf numFmtId="173" fontId="5" fillId="0" borderId="1" xfId="0" applyNumberFormat="1" applyFont="1" applyAlignment="1">
      <alignment/>
    </xf>
    <xf numFmtId="0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1" xfId="0" applyFont="1" applyFill="1" applyAlignment="1">
      <alignment horizontal="left"/>
    </xf>
    <xf numFmtId="0" fontId="0" fillId="0" borderId="2" xfId="0" applyFont="1" applyFill="1" applyAlignment="1">
      <alignment horizontal="left"/>
    </xf>
    <xf numFmtId="173" fontId="0" fillId="0" borderId="2" xfId="0" applyNumberFormat="1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0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0" fontId="0" fillId="7" borderId="2" xfId="0" applyNumberFormat="1" applyFont="1" applyFill="1" applyAlignment="1">
      <alignment/>
    </xf>
    <xf numFmtId="0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3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2" xfId="0" applyFont="1" applyAlignment="1">
      <alignment horizontal="left"/>
    </xf>
    <xf numFmtId="173" fontId="0" fillId="0" borderId="1" xfId="0" applyNumberFormat="1" applyFont="1" applyAlignment="1">
      <alignment/>
    </xf>
    <xf numFmtId="173" fontId="0" fillId="0" borderId="2" xfId="0" applyNumberFormat="1" applyFont="1" applyAlignment="1">
      <alignment/>
    </xf>
    <xf numFmtId="173" fontId="1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3" fillId="0" borderId="1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68"/>
  <sheetViews>
    <sheetView tabSelected="1" showOutlineSymbols="0" zoomScale="80" zoomScaleNormal="80" workbookViewId="0" topLeftCell="A42">
      <selection activeCell="C15" sqref="C15"/>
    </sheetView>
  </sheetViews>
  <sheetFormatPr defaultColWidth="8.88671875" defaultRowHeight="15"/>
  <cols>
    <col min="1" max="1" width="2.88671875" style="1" customWidth="1"/>
    <col min="2" max="2" width="27.10546875" style="24" customWidth="1"/>
    <col min="3" max="3" width="9.6640625" style="24" customWidth="1"/>
    <col min="4" max="4" width="10.6640625" style="24" customWidth="1"/>
    <col min="5" max="5" width="19.6640625" style="24" customWidth="1"/>
    <col min="6" max="6" width="8.6640625" style="24" customWidth="1"/>
    <col min="7" max="7" width="3.6640625" style="24" customWidth="1"/>
    <col min="8" max="8" width="5.6640625" style="1" hidden="1" customWidth="1"/>
    <col min="9" max="16384" width="0" style="1" hidden="1" customWidth="1"/>
  </cols>
  <sheetData>
    <row r="1" spans="2:7" ht="15">
      <c r="B1" s="2" t="s">
        <v>0</v>
      </c>
      <c r="C1" s="3"/>
      <c r="D1" s="4" t="s">
        <v>1</v>
      </c>
      <c r="E1" s="5">
        <f ca="1">TODAY()</f>
        <v>37962</v>
      </c>
      <c r="F1" s="6">
        <f ca="1">NOW()</f>
        <v>37962.53313321759</v>
      </c>
      <c r="G1" s="7"/>
    </row>
    <row r="2" spans="2:7" ht="15">
      <c r="B2" s="8" t="s">
        <v>2</v>
      </c>
      <c r="C2" s="9" t="s">
        <v>3</v>
      </c>
      <c r="D2" s="4" t="s">
        <v>4</v>
      </c>
      <c r="E2" s="10" t="s">
        <v>5</v>
      </c>
      <c r="F2" s="11"/>
      <c r="G2" s="7"/>
    </row>
    <row r="3" spans="2:7" ht="15">
      <c r="B3" s="12" t="s">
        <v>6</v>
      </c>
      <c r="C3" s="10" t="s">
        <v>7</v>
      </c>
      <c r="D3" s="13"/>
      <c r="E3" s="13"/>
      <c r="F3" s="13"/>
      <c r="G3" s="7"/>
    </row>
    <row r="4" spans="2:7" ht="15">
      <c r="B4" s="12" t="s">
        <v>8</v>
      </c>
      <c r="C4" s="14" t="s">
        <v>9</v>
      </c>
      <c r="D4" s="15"/>
      <c r="E4" s="15"/>
      <c r="F4" s="16" t="str">
        <f>E53</f>
        <v>normal allowance chosen</v>
      </c>
      <c r="G4" s="7"/>
    </row>
    <row r="5" spans="2:7" ht="15">
      <c r="B5" s="17" t="s">
        <v>152</v>
      </c>
      <c r="C5" s="18" t="s">
        <v>130</v>
      </c>
      <c r="D5" s="19" t="s">
        <v>11</v>
      </c>
      <c r="E5" s="20" t="s">
        <v>12</v>
      </c>
      <c r="F5" s="21"/>
      <c r="G5" s="7"/>
    </row>
    <row r="6" spans="2:7" ht="15">
      <c r="B6" s="12" t="s">
        <v>13</v>
      </c>
      <c r="C6" s="22">
        <v>107</v>
      </c>
      <c r="D6" s="23" t="str">
        <f>IF(D5="M","mm chosen ",IF(D5="I","Inches chosen ","CHOSE M / I"))</f>
        <v>mm chosen </v>
      </c>
      <c r="E6" s="24">
        <f>IF(C5="T814","CHECK T814 SPREAD SHEET","")</f>
      </c>
      <c r="G6" s="7"/>
    </row>
    <row r="7" spans="2:7" ht="15">
      <c r="B7" s="12" t="s">
        <v>14</v>
      </c>
      <c r="C7" s="22">
        <v>106</v>
      </c>
      <c r="D7" s="25" t="str">
        <f>IF(C7&gt;C6,"INPUT ERROR"," ")</f>
        <v> </v>
      </c>
      <c r="E7" s="26"/>
      <c r="F7" s="27"/>
      <c r="G7" s="7"/>
    </row>
    <row r="8" spans="2:7" ht="15">
      <c r="B8" s="12" t="s">
        <v>15</v>
      </c>
      <c r="C8" s="22">
        <v>70</v>
      </c>
      <c r="D8" s="25" t="str">
        <f>IF(C8&gt;C7,"INPUT ERROR",B!F36)</f>
        <v>TOO THICK</v>
      </c>
      <c r="E8" s="26"/>
      <c r="F8" s="26"/>
      <c r="G8" s="7"/>
    </row>
    <row r="9" spans="2:7" ht="15">
      <c r="B9" s="12" t="s">
        <v>16</v>
      </c>
      <c r="C9" s="22">
        <v>69.5</v>
      </c>
      <c r="D9" s="25" t="str">
        <f>IF(C9&gt;C8,"INPUT ERROR",B!F36)</f>
        <v>TOO THICK</v>
      </c>
      <c r="E9" s="26"/>
      <c r="F9" s="26"/>
      <c r="G9" s="7"/>
    </row>
    <row r="10" spans="2:7" ht="15">
      <c r="B10" s="12" t="s">
        <v>17</v>
      </c>
      <c r="C10" s="22">
        <v>300</v>
      </c>
      <c r="D10" s="28" t="s">
        <v>18</v>
      </c>
      <c r="E10" s="29" t="s">
        <v>19</v>
      </c>
      <c r="F10" s="26"/>
      <c r="G10" s="7"/>
    </row>
    <row r="11" spans="2:7" ht="15">
      <c r="B11" s="12" t="s">
        <v>20</v>
      </c>
      <c r="C11" s="30">
        <v>500</v>
      </c>
      <c r="D11" s="31" t="str">
        <f>"     P = "&amp;FIXED(B!C6,2,TRUE)&amp;"  kg/cm^2 or "&amp;FIXED(B!C6/9.81,1,TRUE)&amp;" Mpa"</f>
        <v>     P = 2.38  kg/cm^2 or 0.2 Mpa</v>
      </c>
      <c r="E11" s="26"/>
      <c r="F11" s="26"/>
      <c r="G11" s="7"/>
    </row>
    <row r="12" spans="2:7" ht="15">
      <c r="B12" s="12" t="s">
        <v>21</v>
      </c>
      <c r="C12" s="18">
        <v>20</v>
      </c>
      <c r="D12" s="32" t="str">
        <f>"     V = "&amp;FIXED(B!C7,2,TRUE)&amp;" m/min"</f>
        <v>     V = 4.40 m/min</v>
      </c>
      <c r="E12" s="26"/>
      <c r="G12" s="7"/>
    </row>
    <row r="13" spans="2:256" ht="15">
      <c r="B13" s="33" t="s">
        <v>22</v>
      </c>
      <c r="C13" s="18">
        <f>B!C8</f>
        <v>10.471975511965978</v>
      </c>
      <c r="D13" s="34" t="str">
        <f>IF(LEFT(C5,2)="PR","","PV="&amp;B!F4)</f>
        <v>PV= OK</v>
      </c>
      <c r="E13" s="35" t="str">
        <f>IF(C5="F36","FOR F36 DOUBLE CHECK  PV",IF(C5="F363"," FOR F363 DOUBLE CHECK PV"," "))</f>
        <v> </v>
      </c>
      <c r="F13" s="36"/>
      <c r="G13" s="7"/>
      <c r="IV13" s="1" t="s">
        <v>23</v>
      </c>
    </row>
    <row r="14" spans="2:7" ht="15">
      <c r="B14" s="12" t="s">
        <v>24</v>
      </c>
      <c r="C14" s="18" t="s">
        <v>128</v>
      </c>
      <c r="D14" s="37" t="s">
        <v>25</v>
      </c>
      <c r="E14" s="36"/>
      <c r="F14" s="26"/>
      <c r="G14" s="7"/>
    </row>
    <row r="15" spans="2:7" ht="15">
      <c r="B15" s="12" t="s">
        <v>26</v>
      </c>
      <c r="C15" s="18">
        <v>20</v>
      </c>
      <c r="D15" s="29">
        <f>IF(C14="W","",IF(C14="O","",IF(C14="G","",IF(C14="D","","Chose one of the letters above"))))</f>
      </c>
      <c r="E15" s="26"/>
      <c r="F15" s="38"/>
      <c r="G15" s="7"/>
    </row>
    <row r="16" spans="2:7" ht="15.75" customHeight="1">
      <c r="B16" s="8" t="s">
        <v>27</v>
      </c>
      <c r="C16" s="39">
        <f>B!D3</f>
        <v>0.12129999999999999</v>
      </c>
      <c r="D16" s="40" t="s">
        <v>28</v>
      </c>
      <c r="E16" s="37" t="str">
        <f>" Minimum  Wall Thickness  "&amp;B!F36</f>
        <v> Minimum  Wall Thickness  TOO THICK</v>
      </c>
      <c r="F16" s="21"/>
      <c r="G16" s="7"/>
    </row>
    <row r="17" spans="2:7" ht="15">
      <c r="B17" s="12" t="s">
        <v>29</v>
      </c>
      <c r="C17" s="41">
        <f>B!B32</f>
        <v>0.1178526</v>
      </c>
      <c r="D17" s="42" t="s">
        <v>30</v>
      </c>
      <c r="E17" s="43" t="str">
        <f>IF(B!G36&gt;1," IMIN increased by  X "&amp;FIXED(B!G36,2,TRUE)&amp;" For thin 'T' wall"," ")</f>
        <v> </v>
      </c>
      <c r="F17" s="21"/>
      <c r="G17" s="7"/>
    </row>
    <row r="18" spans="2:7" ht="15">
      <c r="B18" s="12" t="s">
        <v>31</v>
      </c>
      <c r="C18" s="41">
        <f>C6+C16</f>
        <v>107.1213</v>
      </c>
      <c r="D18" s="42" t="s">
        <v>32</v>
      </c>
      <c r="E18" s="44"/>
      <c r="F18" s="21"/>
      <c r="G18" s="7"/>
    </row>
    <row r="19" spans="2:7" ht="15">
      <c r="B19" s="12" t="s">
        <v>33</v>
      </c>
      <c r="C19" s="41">
        <f>C18+C17</f>
        <v>107.23915260000001</v>
      </c>
      <c r="D19" s="42" t="s">
        <v>34</v>
      </c>
      <c r="E19" s="45"/>
      <c r="F19" s="26"/>
      <c r="G19" s="7"/>
    </row>
    <row r="20" spans="2:7" ht="15" customHeight="1">
      <c r="B20" s="12" t="s">
        <v>35</v>
      </c>
      <c r="C20" s="41">
        <f>C19-C7</f>
        <v>1.2391526000000113</v>
      </c>
      <c r="D20" s="46" t="s">
        <v>36</v>
      </c>
      <c r="E20" s="47"/>
      <c r="G20" s="7"/>
    </row>
    <row r="21" spans="2:7" ht="12.75" customHeight="1">
      <c r="B21" s="8" t="s">
        <v>37</v>
      </c>
      <c r="C21" s="48">
        <f>IF(C22=0,+B!C34/B!A2,"")</f>
        <v>0.10825</v>
      </c>
      <c r="D21" s="49" t="s">
        <v>38</v>
      </c>
      <c r="E21" s="50"/>
      <c r="F21" s="51" t="s">
        <v>39</v>
      </c>
      <c r="G21" s="7"/>
    </row>
    <row r="22" spans="2:7" ht="15">
      <c r="B22" s="52" t="s">
        <v>40</v>
      </c>
      <c r="C22" s="41">
        <v>0</v>
      </c>
      <c r="D22" s="53"/>
      <c r="E22" s="50" t="str">
        <f>IF(F21="N"," ",IF(F21="Y"," ","PLEASE CHOOSE N/Y"))</f>
        <v> </v>
      </c>
      <c r="F22" s="54">
        <f>IF(LEFT(C5,2)="pr","swell is only 0.1","")</f>
      </c>
      <c r="G22" s="55"/>
    </row>
    <row r="23" spans="2:7" ht="15">
      <c r="B23" s="12" t="s">
        <v>41</v>
      </c>
      <c r="C23" s="41">
        <f>((C6-$C$9)*($F$23/100)*($F$24))</f>
        <v>0.1875</v>
      </c>
      <c r="D23" s="56"/>
      <c r="E23" s="57" t="s">
        <v>42</v>
      </c>
      <c r="F23" s="19">
        <v>1</v>
      </c>
      <c r="G23" s="58"/>
    </row>
    <row r="24" spans="2:7" ht="15">
      <c r="B24" s="12" t="s">
        <v>43</v>
      </c>
      <c r="C24" s="41">
        <f>((C6-C9)*F25*F26*10^-6)</f>
        <v>0</v>
      </c>
      <c r="D24" s="59" t="s">
        <v>44</v>
      </c>
      <c r="E24" s="60" t="s">
        <v>45</v>
      </c>
      <c r="F24" s="19">
        <v>0.5</v>
      </c>
      <c r="G24" s="7"/>
    </row>
    <row r="25" spans="2:7" ht="15">
      <c r="B25" s="12" t="s">
        <v>46</v>
      </c>
      <c r="C25" s="41">
        <f>C20*B!D36*C53</f>
        <v>1.2763271780000116</v>
      </c>
      <c r="D25" s="59">
        <f>B!D36</f>
        <v>1.03</v>
      </c>
      <c r="E25" s="60" t="s">
        <v>47</v>
      </c>
      <c r="F25" s="19">
        <v>80</v>
      </c>
      <c r="G25" s="7"/>
    </row>
    <row r="26" spans="2:7" ht="15">
      <c r="B26" s="61" t="str">
        <f>IF(C53=1,+"bcf check "&amp;FIXED(B!$D$36,2,TRUE),"MACHINED IN SITU")</f>
        <v>bcf check 1.03</v>
      </c>
      <c r="C26" s="62" t="str">
        <f>E53</f>
        <v>normal allowance chosen</v>
      </c>
      <c r="D26" s="59" t="s">
        <v>48</v>
      </c>
      <c r="E26" s="63" t="s">
        <v>49</v>
      </c>
      <c r="F26" s="64">
        <f>C15-20</f>
        <v>0</v>
      </c>
      <c r="G26" s="7"/>
    </row>
    <row r="27" spans="2:7" ht="15">
      <c r="B27" s="12" t="s">
        <v>29</v>
      </c>
      <c r="C27" s="41">
        <f>B!E32/B!A2</f>
        <v>0.10499700000000001</v>
      </c>
      <c r="D27" s="40" t="s">
        <v>50</v>
      </c>
      <c r="E27" s="54"/>
      <c r="F27" s="20"/>
      <c r="G27" s="7"/>
    </row>
    <row r="28" spans="2:7" ht="13.5" customHeight="1">
      <c r="B28" s="12" t="s">
        <v>51</v>
      </c>
      <c r="C28" s="41">
        <f>C8+C21+C22+C23+C24+C25</f>
        <v>71.57207717800001</v>
      </c>
      <c r="D28" s="42" t="s">
        <v>52</v>
      </c>
      <c r="E28" s="65"/>
      <c r="F28" s="29"/>
      <c r="G28" s="7"/>
    </row>
    <row r="29" spans="2:7" ht="13.5" customHeight="1">
      <c r="B29" s="12" t="s">
        <v>53</v>
      </c>
      <c r="C29" s="41">
        <f>C27+C28</f>
        <v>71.67707417800001</v>
      </c>
      <c r="D29" s="42" t="s">
        <v>54</v>
      </c>
      <c r="E29" s="65"/>
      <c r="F29" s="29"/>
      <c r="G29" s="7"/>
    </row>
    <row r="30" spans="2:7" ht="12.75" customHeight="1">
      <c r="B30" s="66"/>
      <c r="C30" s="67"/>
      <c r="D30" s="68"/>
      <c r="E30" s="69"/>
      <c r="F30" s="26"/>
      <c r="G30" s="7"/>
    </row>
    <row r="31" spans="2:7" ht="15.75">
      <c r="B31" s="70" t="s">
        <v>55</v>
      </c>
      <c r="C31" s="71"/>
      <c r="D31" s="72"/>
      <c r="E31" s="26"/>
      <c r="F31" s="26"/>
      <c r="G31" s="7"/>
    </row>
    <row r="32" spans="2:7" ht="15">
      <c r="B32" s="73" t="str">
        <f>"all units are in "&amp;+B!A3</f>
        <v>all units are in mm</v>
      </c>
      <c r="C32" s="74" t="s">
        <v>56</v>
      </c>
      <c r="D32" s="75" t="s">
        <v>57</v>
      </c>
      <c r="E32" s="26"/>
      <c r="F32" s="26"/>
      <c r="G32" s="7"/>
    </row>
    <row r="33" spans="2:7" ht="15">
      <c r="B33" s="76" t="s">
        <v>58</v>
      </c>
      <c r="C33" s="77">
        <f>(C19)</f>
        <v>107.23915260000001</v>
      </c>
      <c r="D33" s="77">
        <f>(C18)</f>
        <v>107.1213</v>
      </c>
      <c r="E33" s="29"/>
      <c r="F33" s="26"/>
      <c r="G33" s="7"/>
    </row>
    <row r="34" spans="2:7" ht="13.5" customHeight="1">
      <c r="B34" s="76" t="s">
        <v>59</v>
      </c>
      <c r="C34" s="77">
        <f>(C29)</f>
        <v>71.67707417800001</v>
      </c>
      <c r="D34" s="77">
        <f>(C28)</f>
        <v>71.57207717800001</v>
      </c>
      <c r="E34" s="29"/>
      <c r="F34" s="78"/>
      <c r="G34" s="79"/>
    </row>
    <row r="35" spans="2:7" ht="13.5" customHeight="1">
      <c r="B35" s="76" t="s">
        <v>60</v>
      </c>
      <c r="C35" s="77">
        <f>(C10)</f>
        <v>300</v>
      </c>
      <c r="D35" s="77" t="str">
        <f>D10</f>
        <v>+/-0.1</v>
      </c>
      <c r="E35" s="26"/>
      <c r="F35" s="78"/>
      <c r="G35" s="7"/>
    </row>
    <row r="36" spans="2:7" ht="12.75" customHeight="1">
      <c r="B36" s="80"/>
      <c r="C36" s="81"/>
      <c r="D36" s="81"/>
      <c r="E36" s="26"/>
      <c r="G36" s="7"/>
    </row>
    <row r="37" spans="2:17" ht="15.75">
      <c r="B37" s="82" t="s">
        <v>61</v>
      </c>
      <c r="C37" s="83"/>
      <c r="D37" s="84" t="str">
        <f>"all units are in "&amp;+B!A3</f>
        <v>all units are in mm</v>
      </c>
      <c r="E37" s="83"/>
      <c r="F37" s="83"/>
      <c r="G37" s="7"/>
      <c r="P37" s="85"/>
      <c r="Q37" s="85"/>
    </row>
    <row r="38" spans="2:7" ht="15">
      <c r="B38" s="17"/>
      <c r="C38" s="86" t="s">
        <v>62</v>
      </c>
      <c r="F38" s="86" t="s">
        <v>63</v>
      </c>
      <c r="G38" s="7"/>
    </row>
    <row r="39" spans="2:7" ht="15">
      <c r="B39" s="8" t="s">
        <v>64</v>
      </c>
      <c r="C39" s="87">
        <f>C19</f>
        <v>107.23915260000001</v>
      </c>
      <c r="D39" s="20"/>
      <c r="E39" s="8" t="s">
        <v>65</v>
      </c>
      <c r="F39" s="87">
        <f>C18</f>
        <v>107.1213</v>
      </c>
      <c r="G39" s="7"/>
    </row>
    <row r="40" spans="2:7" ht="15">
      <c r="B40" s="12" t="s">
        <v>66</v>
      </c>
      <c r="C40" s="88">
        <f>(C7)</f>
        <v>106</v>
      </c>
      <c r="D40" s="89"/>
      <c r="E40" s="90" t="s">
        <v>67</v>
      </c>
      <c r="F40" s="88">
        <f>C6</f>
        <v>107</v>
      </c>
      <c r="G40" s="7"/>
    </row>
    <row r="41" spans="2:7" ht="15">
      <c r="B41" s="12" t="s">
        <v>68</v>
      </c>
      <c r="C41" s="88">
        <f>(C39-C40)</f>
        <v>1.2391526000000113</v>
      </c>
      <c r="D41" s="89"/>
      <c r="E41" s="90" t="s">
        <v>69</v>
      </c>
      <c r="F41" s="88">
        <f>(F39-F40)</f>
        <v>0.12130000000000507</v>
      </c>
      <c r="G41" s="7"/>
    </row>
    <row r="42" spans="2:7" ht="15">
      <c r="B42" s="12" t="s">
        <v>70</v>
      </c>
      <c r="C42" s="88">
        <f>B!D36*C53</f>
        <v>1.03</v>
      </c>
      <c r="D42" s="89"/>
      <c r="E42" s="90" t="s">
        <v>71</v>
      </c>
      <c r="F42" s="88">
        <f>B!D36</f>
        <v>1.03</v>
      </c>
      <c r="G42" s="7"/>
    </row>
    <row r="43" spans="2:7" ht="15">
      <c r="B43" s="12" t="s">
        <v>72</v>
      </c>
      <c r="C43" s="88">
        <f>(C41*C42)</f>
        <v>1.2763271780000116</v>
      </c>
      <c r="D43" s="89"/>
      <c r="E43" s="90" t="s">
        <v>73</v>
      </c>
      <c r="F43" s="88">
        <f>(F41*F42)*C53</f>
        <v>0.12493900000000523</v>
      </c>
      <c r="G43" s="7"/>
    </row>
    <row r="44" spans="2:7" ht="15">
      <c r="B44" s="12" t="s">
        <v>74</v>
      </c>
      <c r="C44" s="88">
        <f>(C28)</f>
        <v>71.57207717800001</v>
      </c>
      <c r="D44" s="89"/>
      <c r="E44" s="90" t="s">
        <v>75</v>
      </c>
      <c r="F44" s="88">
        <f>(C29)</f>
        <v>71.67707417800001</v>
      </c>
      <c r="G44" s="7"/>
    </row>
    <row r="45" spans="2:7" ht="15">
      <c r="B45" s="12" t="s">
        <v>76</v>
      </c>
      <c r="C45" s="88">
        <f>(C44-C43)</f>
        <v>70.29575</v>
      </c>
      <c r="D45" s="89"/>
      <c r="E45" s="90" t="s">
        <v>77</v>
      </c>
      <c r="F45" s="88">
        <f>(F44-F43)</f>
        <v>71.552135178</v>
      </c>
      <c r="G45" s="7"/>
    </row>
    <row r="46" spans="2:7" ht="15">
      <c r="B46" s="12" t="s">
        <v>78</v>
      </c>
      <c r="C46" s="88">
        <f>(C23)</f>
        <v>0.1875</v>
      </c>
      <c r="D46" s="89"/>
      <c r="E46" s="90" t="s">
        <v>78</v>
      </c>
      <c r="F46" s="88">
        <f>(C23)</f>
        <v>0.1875</v>
      </c>
      <c r="G46" s="7"/>
    </row>
    <row r="47" spans="2:7" ht="15">
      <c r="B47" s="12" t="s">
        <v>79</v>
      </c>
      <c r="C47" s="88">
        <f>(C45-C46)</f>
        <v>70.10825</v>
      </c>
      <c r="D47" s="89"/>
      <c r="E47" s="90" t="s">
        <v>80</v>
      </c>
      <c r="F47" s="88">
        <f>(F45-F46)</f>
        <v>71.364635178</v>
      </c>
      <c r="G47" s="7"/>
    </row>
    <row r="48" spans="2:7" ht="15">
      <c r="B48" s="12" t="s">
        <v>81</v>
      </c>
      <c r="C48" s="88">
        <f>(C24)</f>
        <v>0</v>
      </c>
      <c r="D48" s="89"/>
      <c r="E48" s="90" t="s">
        <v>82</v>
      </c>
      <c r="F48" s="88">
        <f>(C24)</f>
        <v>0</v>
      </c>
      <c r="G48" s="7"/>
    </row>
    <row r="49" spans="2:7" ht="15">
      <c r="B49" s="12" t="s">
        <v>83</v>
      </c>
      <c r="C49" s="88">
        <f>(C47-C48)</f>
        <v>70.10825</v>
      </c>
      <c r="D49" s="89"/>
      <c r="E49" s="90" t="s">
        <v>83</v>
      </c>
      <c r="F49" s="88">
        <f>(F47-F48)</f>
        <v>71.364635178</v>
      </c>
      <c r="G49" s="7"/>
    </row>
    <row r="50" spans="2:7" ht="15">
      <c r="B50" s="12" t="s">
        <v>84</v>
      </c>
      <c r="C50" s="88">
        <f>(C8)</f>
        <v>70</v>
      </c>
      <c r="D50" s="89"/>
      <c r="E50" s="90" t="s">
        <v>85</v>
      </c>
      <c r="F50" s="88">
        <f>(C9)</f>
        <v>69.5</v>
      </c>
      <c r="G50" s="7"/>
    </row>
    <row r="51" spans="2:7" ht="13.5" customHeight="1">
      <c r="B51" s="12" t="s">
        <v>86</v>
      </c>
      <c r="C51" s="88">
        <f>(C49-C50)</f>
        <v>0.10824999999999818</v>
      </c>
      <c r="D51" s="89"/>
      <c r="E51" s="90" t="s">
        <v>87</v>
      </c>
      <c r="F51" s="88">
        <f>(F49-F50)</f>
        <v>1.8646351780000003</v>
      </c>
      <c r="G51" s="7"/>
    </row>
    <row r="52" spans="2:7" ht="13.5" customHeight="1">
      <c r="B52" s="126" t="s">
        <v>88</v>
      </c>
      <c r="C52" s="91"/>
      <c r="D52" s="54"/>
      <c r="E52" s="92" t="s">
        <v>151</v>
      </c>
      <c r="F52" s="54"/>
      <c r="G52" s="7"/>
    </row>
    <row r="53" spans="2:6" ht="13.5" customHeight="1">
      <c r="B53" s="93" t="s">
        <v>89</v>
      </c>
      <c r="C53" s="94">
        <v>1</v>
      </c>
      <c r="D53" s="93"/>
      <c r="E53" s="95" t="str">
        <f>IF(C53=0,"machine in situ chosen",IF(C53=1,"normal allowance chosen","chose 1 or 2"))</f>
        <v>normal allowance chosen</v>
      </c>
      <c r="F53" s="54"/>
    </row>
    <row r="54" spans="2:4" ht="13.5" customHeight="1">
      <c r="B54" s="24" t="s">
        <v>90</v>
      </c>
      <c r="C54" s="24" t="s">
        <v>91</v>
      </c>
      <c r="D54" s="24">
        <f>0.33*(D33-C34)*0.5</f>
        <v>5.848297260629999</v>
      </c>
    </row>
    <row r="55" spans="3:5" ht="13.5" customHeight="1">
      <c r="C55" s="24" t="s">
        <v>92</v>
      </c>
      <c r="D55" s="24">
        <f>2.5*D54</f>
        <v>14.620743151574997</v>
      </c>
      <c r="E55" s="24" t="s">
        <v>93</v>
      </c>
    </row>
    <row r="56" spans="2:5" ht="13.5" customHeight="1">
      <c r="B56" s="24" t="s">
        <v>94</v>
      </c>
      <c r="C56" s="24" t="s">
        <v>95</v>
      </c>
      <c r="D56" s="24">
        <v>4</v>
      </c>
      <c r="E56" s="24">
        <v>6</v>
      </c>
    </row>
    <row r="57" spans="2:5" ht="13.5" customHeight="1">
      <c r="B57" s="24" t="s">
        <v>96</v>
      </c>
      <c r="C57" s="24" t="s">
        <v>97</v>
      </c>
      <c r="D57" s="24">
        <v>5</v>
      </c>
      <c r="E57" s="24">
        <v>10</v>
      </c>
    </row>
    <row r="58" spans="3:5" ht="13.5" customHeight="1">
      <c r="C58" s="24" t="s">
        <v>98</v>
      </c>
      <c r="D58" s="24">
        <v>6</v>
      </c>
      <c r="E58" s="24">
        <v>15</v>
      </c>
    </row>
    <row r="59" spans="3:5" ht="13.5" customHeight="1">
      <c r="C59" s="24" t="s">
        <v>99</v>
      </c>
      <c r="D59" s="24">
        <v>7</v>
      </c>
      <c r="E59" s="24">
        <v>15</v>
      </c>
    </row>
    <row r="60" spans="3:5" ht="13.5" customHeight="1">
      <c r="C60" s="24" t="s">
        <v>100</v>
      </c>
      <c r="D60" s="24">
        <v>8</v>
      </c>
      <c r="E60" s="24">
        <v>20</v>
      </c>
    </row>
    <row r="61" spans="3:5" ht="13.5" customHeight="1">
      <c r="C61" s="24" t="s">
        <v>101</v>
      </c>
      <c r="D61" s="24">
        <v>9</v>
      </c>
      <c r="E61" s="24">
        <v>20</v>
      </c>
    </row>
    <row r="62" spans="3:5" ht="13.5" customHeight="1">
      <c r="C62" s="24" t="s">
        <v>102</v>
      </c>
      <c r="D62" s="24">
        <v>10</v>
      </c>
      <c r="E62" s="24">
        <v>25</v>
      </c>
    </row>
    <row r="63" spans="3:5" ht="13.5" customHeight="1">
      <c r="C63" s="24" t="s">
        <v>103</v>
      </c>
      <c r="D63" s="24">
        <v>11</v>
      </c>
      <c r="E63" s="24">
        <v>25</v>
      </c>
    </row>
    <row r="64" spans="3:5" ht="13.5" customHeight="1">
      <c r="C64" s="24" t="s">
        <v>104</v>
      </c>
      <c r="D64" s="24">
        <v>12</v>
      </c>
      <c r="E64" s="24">
        <v>25</v>
      </c>
    </row>
    <row r="65" spans="3:5" ht="13.5" customHeight="1">
      <c r="C65" s="24" t="s">
        <v>105</v>
      </c>
      <c r="D65" s="24">
        <v>13</v>
      </c>
      <c r="E65" s="24">
        <v>25</v>
      </c>
    </row>
    <row r="66" spans="3:5" ht="13.5" customHeight="1">
      <c r="C66" s="24" t="s">
        <v>106</v>
      </c>
      <c r="D66" s="24">
        <v>14</v>
      </c>
      <c r="E66" s="24">
        <v>25</v>
      </c>
    </row>
    <row r="67" spans="3:5" ht="13.5" customHeight="1">
      <c r="C67" s="24" t="s">
        <v>107</v>
      </c>
      <c r="D67" s="24">
        <v>15</v>
      </c>
      <c r="E67" s="24">
        <v>25</v>
      </c>
    </row>
    <row r="68" spans="3:5" ht="13.5" customHeight="1">
      <c r="C68" s="24" t="s">
        <v>108</v>
      </c>
      <c r="D68" s="24">
        <v>16</v>
      </c>
      <c r="E68" s="24">
        <v>25</v>
      </c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</sheetData>
  <printOptions/>
  <pageMargins left="0.5" right="0.5" top="0.5" bottom="0.5826388888888889" header="0.5" footer="0.5"/>
  <pageSetup orientation="portrait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showOutlineSymbols="0" zoomScale="80" zoomScaleNormal="80" workbookViewId="0" topLeftCell="A1">
      <selection activeCell="B14" sqref="B14"/>
    </sheetView>
  </sheetViews>
  <sheetFormatPr defaultColWidth="8.88671875" defaultRowHeight="15"/>
  <cols>
    <col min="1" max="1" width="9.6640625" style="103" customWidth="1"/>
    <col min="2" max="2" width="11.10546875" style="103" customWidth="1"/>
    <col min="3" max="16384" width="9.6640625" style="103" customWidth="1"/>
  </cols>
  <sheetData>
    <row r="1" spans="1:27" ht="15">
      <c r="A1" s="1" t="str">
        <f>UPPER(A!D5)</f>
        <v>M</v>
      </c>
      <c r="B1" s="96">
        <f>IF(B2="T",C3,D3)</f>
        <v>0.1826631</v>
      </c>
      <c r="C1" s="97" t="s">
        <v>109</v>
      </c>
      <c r="D1" s="97"/>
      <c r="E1" s="97"/>
      <c r="F1" s="98"/>
      <c r="G1" s="99" t="s">
        <v>110</v>
      </c>
      <c r="H1" s="1"/>
      <c r="I1" s="1"/>
      <c r="J1" s="1"/>
      <c r="K1" s="1"/>
      <c r="L1" s="1"/>
      <c r="M1" s="100" t="s">
        <v>111</v>
      </c>
      <c r="N1" s="101">
        <v>0</v>
      </c>
      <c r="O1" s="101">
        <v>200</v>
      </c>
      <c r="P1" s="101">
        <v>300</v>
      </c>
      <c r="Q1" s="101">
        <v>400</v>
      </c>
      <c r="R1" s="101">
        <v>500</v>
      </c>
      <c r="S1" s="102">
        <v>600</v>
      </c>
      <c r="T1" s="101"/>
      <c r="U1" s="1"/>
      <c r="V1" s="1"/>
      <c r="W1" s="1"/>
      <c r="X1" s="1"/>
      <c r="Y1" s="1"/>
      <c r="Z1" s="1"/>
      <c r="AA1" s="1"/>
    </row>
    <row r="2" spans="1:27" ht="15">
      <c r="A2" s="1">
        <f>IF(A1="M",1,25.4)</f>
        <v>1</v>
      </c>
      <c r="B2" s="99" t="str">
        <f>LEFT(A!C5,1)</f>
        <v>T</v>
      </c>
      <c r="C2" s="104" t="s">
        <v>112</v>
      </c>
      <c r="D2" s="104" t="s">
        <v>113</v>
      </c>
      <c r="E2" s="104"/>
      <c r="F2" s="1"/>
      <c r="G2" s="99"/>
      <c r="H2" s="1"/>
      <c r="I2" s="1"/>
      <c r="J2" s="1"/>
      <c r="K2" s="1"/>
      <c r="L2" s="1"/>
      <c r="M2" s="105" t="s">
        <v>114</v>
      </c>
      <c r="N2" s="106">
        <v>0.1</v>
      </c>
      <c r="O2" s="107">
        <v>0.13</v>
      </c>
      <c r="P2" s="107">
        <v>0.15</v>
      </c>
      <c r="Q2" s="107">
        <v>0.175</v>
      </c>
      <c r="R2" s="107">
        <v>0.2</v>
      </c>
      <c r="S2" s="108">
        <v>0.23</v>
      </c>
      <c r="T2" s="106"/>
      <c r="U2" s="1"/>
      <c r="V2" s="1"/>
      <c r="W2" s="1"/>
      <c r="X2" s="1"/>
      <c r="Y2" s="1"/>
      <c r="Z2" s="1"/>
      <c r="AA2" s="1"/>
    </row>
    <row r="3" spans="1:27" ht="15">
      <c r="A3" s="1" t="str">
        <f>IF(A2=1,"mm","inches")</f>
        <v>mm</v>
      </c>
      <c r="B3" s="99"/>
      <c r="C3" s="109">
        <f>(+A6*0.0013333)+0.04</f>
        <v>0.1826631</v>
      </c>
      <c r="D3" s="109">
        <f>(+A6*0.0009)+0.025</f>
        <v>0.12129999999999999</v>
      </c>
      <c r="E3" s="110"/>
      <c r="F3" s="1"/>
      <c r="G3" s="99"/>
      <c r="H3" s="1"/>
      <c r="I3" s="1"/>
      <c r="J3" s="1"/>
      <c r="K3" s="1"/>
      <c r="L3" s="1"/>
      <c r="M3" s="111">
        <f>A6</f>
        <v>107</v>
      </c>
      <c r="N3" s="101">
        <f>HLOOKUP(M3,N1:S2,2)*N6</f>
        <v>0.225</v>
      </c>
      <c r="O3" s="100"/>
      <c r="P3" s="101"/>
      <c r="Q3" s="101"/>
      <c r="R3" s="101"/>
      <c r="S3" s="101"/>
      <c r="T3" s="101"/>
      <c r="U3" s="1"/>
      <c r="V3" s="1"/>
      <c r="W3" s="1"/>
      <c r="X3" s="1"/>
      <c r="Y3" s="1"/>
      <c r="Z3" s="1"/>
      <c r="AA3" s="1"/>
    </row>
    <row r="4" spans="1:27" ht="15">
      <c r="A4" s="1" t="str">
        <f>A!C5</f>
        <v>T14</v>
      </c>
      <c r="B4" s="112"/>
      <c r="C4" s="113" t="s">
        <v>115</v>
      </c>
      <c r="D4" s="113"/>
      <c r="E4" s="113">
        <f>SUM(E6:L6)</f>
        <v>2000</v>
      </c>
      <c r="F4" s="113" t="str">
        <f>IF(E4&gt;C8," OK"," TOO HIGH")</f>
        <v> OK</v>
      </c>
      <c r="G4" s="98">
        <f>IF(D6="T14",1,IF(D6="T11",1,IF(D6="T12",1,0)))</f>
        <v>1</v>
      </c>
      <c r="H4" s="98"/>
      <c r="I4" s="98"/>
      <c r="J4" s="98"/>
      <c r="K4" s="98"/>
      <c r="L4" s="98"/>
      <c r="M4" s="100" t="s">
        <v>116</v>
      </c>
      <c r="N4" s="101">
        <v>0</v>
      </c>
      <c r="O4" s="101">
        <v>1.25</v>
      </c>
      <c r="P4" s="101">
        <v>1.5</v>
      </c>
      <c r="Q4" s="101">
        <v>1.75</v>
      </c>
      <c r="R4" s="101">
        <v>2</v>
      </c>
      <c r="S4" s="101">
        <v>2.25</v>
      </c>
      <c r="T4" s="101">
        <v>2.5</v>
      </c>
      <c r="U4" s="1"/>
      <c r="V4" s="1"/>
      <c r="W4" s="1"/>
      <c r="X4" s="1"/>
      <c r="Y4" s="1"/>
      <c r="Z4" s="1"/>
      <c r="AA4" s="1"/>
    </row>
    <row r="5" spans="1:27" ht="15">
      <c r="A5" s="1"/>
      <c r="B5" s="99"/>
      <c r="C5" s="1"/>
      <c r="D5" s="1"/>
      <c r="E5" s="114" t="s">
        <v>117</v>
      </c>
      <c r="F5" s="114" t="s">
        <v>118</v>
      </c>
      <c r="G5" s="114" t="s">
        <v>119</v>
      </c>
      <c r="H5" s="114" t="s">
        <v>120</v>
      </c>
      <c r="I5" s="114" t="s">
        <v>121</v>
      </c>
      <c r="J5" s="114" t="s">
        <v>122</v>
      </c>
      <c r="K5" s="114" t="s">
        <v>123</v>
      </c>
      <c r="L5" s="114" t="s">
        <v>124</v>
      </c>
      <c r="M5" s="105" t="s">
        <v>125</v>
      </c>
      <c r="N5" s="106">
        <v>1</v>
      </c>
      <c r="O5" s="106">
        <v>1.125</v>
      </c>
      <c r="P5" s="106">
        <v>1.375</v>
      </c>
      <c r="Q5" s="106">
        <v>1.625</v>
      </c>
      <c r="R5" s="107">
        <v>1.75</v>
      </c>
      <c r="S5" s="107">
        <v>2</v>
      </c>
      <c r="T5" s="107">
        <v>2.25</v>
      </c>
      <c r="U5" s="1"/>
      <c r="V5" s="1"/>
      <c r="W5" s="1"/>
      <c r="X5" s="1"/>
      <c r="Y5" s="1"/>
      <c r="Z5" s="1"/>
      <c r="AA5" s="1"/>
    </row>
    <row r="6" spans="1:27" ht="15">
      <c r="A6" s="115">
        <f>A!C6*$A$2</f>
        <v>107</v>
      </c>
      <c r="B6" s="116" t="s">
        <v>126</v>
      </c>
      <c r="C6" s="117">
        <f>A!C11/(A8*A10*0.01)</f>
        <v>2.380952380952381</v>
      </c>
      <c r="D6" s="125" t="str">
        <f>A!C5</f>
        <v>T14</v>
      </c>
      <c r="E6" s="114">
        <f>IF($D$6="T14",HLOOKUP($D$7,$D$7:$H$18,2),IF($D$6="T147",HLOOKUP($D$7,$D$7:$H$18,10),""))</f>
        <v>2000</v>
      </c>
      <c r="F6" s="114">
        <f>IF($D$6="T11",HLOOKUP($D$7,$D$7:$H$18,3),IF($D$6="T117",HLOOKUP($D$7,$D$7:$H$18,11),""))</f>
      </c>
      <c r="G6" s="114">
        <f>IF($D$6="T12",HLOOKUP($D$7,$D$7:$H$18,4),IF($D$6="T127",HLOOKUP($D$7,$D$7:$H$18,12),""))</f>
      </c>
      <c r="H6" s="114">
        <f>IF($D$6="F24",HLOOKUP($D$7,$D$7:$H$18,5),IF($D$6="F247",HLOOKUP($D$7,$D$7:$H$18,5),""))</f>
      </c>
      <c r="I6" s="114">
        <f>IF($D$6="F21",HLOOKUP($D$7,$D$7:$H$18,6),IF($D$6="F217",HLOOKUP($D$7,$D$7:$H$18,6),""))</f>
      </c>
      <c r="J6" s="114">
        <f>IF($D$6="F36",HLOOKUP($D$7,$D$7:$H$18,8),IF($D$6="F3637",HLOOKUP($D$7,$D$7:$H$18,8),""))</f>
      </c>
      <c r="K6" s="114">
        <f>IF($D$6="F363",HLOOKUP($D$7,$D$7:$H$18,8),IF($D$6="F3637",HLOOKUP($D$7,$D$7:$H$18,8),""))</f>
      </c>
      <c r="L6" s="114">
        <f>IF($D$6="T814",HLOOKUP($D$7,$D$7:$H$18,9),IF($D$6="T814",HLOOKUP($D$7,$D$7:$H$18,9),""))</f>
      </c>
      <c r="M6" s="100">
        <f>$A$10/$A$8</f>
        <v>4.285714285714286</v>
      </c>
      <c r="N6" s="101">
        <f>HLOOKUP($M$6,$N$4:T$5,((2)-1)+1)</f>
        <v>2.25</v>
      </c>
      <c r="O6" s="100"/>
      <c r="P6" s="118"/>
      <c r="Q6" s="101"/>
      <c r="R6" s="101"/>
      <c r="S6" s="101"/>
      <c r="T6" s="101"/>
      <c r="U6" s="1"/>
      <c r="V6" s="1"/>
      <c r="W6" s="1"/>
      <c r="X6" s="1"/>
      <c r="Y6" s="1"/>
      <c r="Z6" s="1"/>
      <c r="AA6" s="1"/>
    </row>
    <row r="7" spans="1:27" ht="15">
      <c r="A7" s="115">
        <f>A!C7*$A$2</f>
        <v>106</v>
      </c>
      <c r="B7" s="116" t="s">
        <v>127</v>
      </c>
      <c r="C7" s="117">
        <f>PI()*A8*A!C12*0.001</f>
        <v>4.39822971502571</v>
      </c>
      <c r="D7" s="1">
        <f>IF(A14="W",1,IF(A14="O",2,IF(A14="G",3,4)))</f>
        <v>1</v>
      </c>
      <c r="E7" s="114">
        <v>1</v>
      </c>
      <c r="F7" s="114">
        <v>2</v>
      </c>
      <c r="G7" s="114">
        <v>3</v>
      </c>
      <c r="H7" s="114">
        <v>4</v>
      </c>
      <c r="I7" s="114"/>
      <c r="J7" s="114"/>
      <c r="K7" s="114"/>
      <c r="L7" s="114"/>
      <c r="M7" s="116"/>
      <c r="N7" s="1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15">
        <f>A!C8*$A$2</f>
        <v>70</v>
      </c>
      <c r="B8" s="116" t="s">
        <v>129</v>
      </c>
      <c r="C8" s="117">
        <f>C6*C7</f>
        <v>10.471975511965978</v>
      </c>
      <c r="D8" s="1" t="s">
        <v>130</v>
      </c>
      <c r="E8" s="114">
        <v>2000</v>
      </c>
      <c r="F8" s="114">
        <v>300</v>
      </c>
      <c r="G8" s="114">
        <v>200</v>
      </c>
      <c r="H8" s="114">
        <v>100</v>
      </c>
      <c r="I8" s="114"/>
      <c r="J8" s="114"/>
      <c r="K8" s="114"/>
      <c r="L8" s="114"/>
      <c r="M8" s="116"/>
      <c r="N8" s="1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15">
        <f>A!C9*$A$2</f>
        <v>69.5</v>
      </c>
      <c r="B9" s="99"/>
      <c r="C9" s="1"/>
      <c r="D9" s="1" t="s">
        <v>131</v>
      </c>
      <c r="E9" s="114">
        <v>2000</v>
      </c>
      <c r="F9" s="114">
        <v>360</v>
      </c>
      <c r="G9" s="114">
        <v>220</v>
      </c>
      <c r="H9" s="114">
        <v>110</v>
      </c>
      <c r="I9" s="114"/>
      <c r="J9" s="114"/>
      <c r="K9" s="114"/>
      <c r="L9" s="114"/>
      <c r="M9" s="116"/>
      <c r="N9" s="1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15">
        <f>A!C10*$A$2</f>
        <v>300</v>
      </c>
      <c r="B10" s="99"/>
      <c r="C10" s="1"/>
      <c r="D10" s="1" t="s">
        <v>132</v>
      </c>
      <c r="E10" s="114">
        <v>2000</v>
      </c>
      <c r="F10" s="114">
        <v>380</v>
      </c>
      <c r="G10" s="114">
        <v>260</v>
      </c>
      <c r="H10" s="114">
        <v>140</v>
      </c>
      <c r="I10" s="114"/>
      <c r="J10" s="114"/>
      <c r="K10" s="114"/>
      <c r="L10" s="114"/>
      <c r="M10" s="116"/>
      <c r="N10" s="1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">
        <f>A!C11</f>
        <v>500</v>
      </c>
      <c r="B11" s="99"/>
      <c r="C11" s="1"/>
      <c r="D11" s="1" t="s">
        <v>120</v>
      </c>
      <c r="E11" s="114">
        <v>2000</v>
      </c>
      <c r="F11" s="114">
        <v>330</v>
      </c>
      <c r="G11" s="114">
        <v>220</v>
      </c>
      <c r="H11" s="114">
        <v>110</v>
      </c>
      <c r="I11" s="114"/>
      <c r="J11" s="114"/>
      <c r="K11" s="114"/>
      <c r="L11" s="114"/>
      <c r="M11" s="116"/>
      <c r="N11" s="1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>
        <f>A!C12</f>
        <v>20</v>
      </c>
      <c r="B12" s="99"/>
      <c r="C12" s="1"/>
      <c r="D12" s="1" t="s">
        <v>121</v>
      </c>
      <c r="E12" s="114">
        <v>2000</v>
      </c>
      <c r="F12" s="114">
        <v>540</v>
      </c>
      <c r="G12" s="114">
        <v>360</v>
      </c>
      <c r="H12" s="114">
        <v>180</v>
      </c>
      <c r="I12" s="114"/>
      <c r="J12" s="114"/>
      <c r="K12" s="114"/>
      <c r="L12" s="114"/>
      <c r="M12" s="116"/>
      <c r="N12" s="1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>
        <f>A!C13</f>
        <v>10.471975511965978</v>
      </c>
      <c r="B13" s="99"/>
      <c r="C13" s="1"/>
      <c r="D13" s="1" t="s">
        <v>122</v>
      </c>
      <c r="E13" s="114">
        <v>2000</v>
      </c>
      <c r="F13" s="114">
        <v>3000</v>
      </c>
      <c r="G13" s="114">
        <v>1200</v>
      </c>
      <c r="H13" s="114">
        <v>1000</v>
      </c>
      <c r="I13" s="114"/>
      <c r="J13" s="114"/>
      <c r="K13" s="114"/>
      <c r="L13" s="114"/>
      <c r="M13" s="116"/>
      <c r="N13" s="1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25" t="str">
        <f>A!C14</f>
        <v>W</v>
      </c>
      <c r="B14" s="1" t="str">
        <f>+"PV IS IN COLUMN  "&amp;IF(A14="W",1,IF(A14="O",2,IF(A14="G",3,4)))</f>
        <v>PV IS IN COLUMN  1</v>
      </c>
      <c r="C14" s="1"/>
      <c r="D14" s="1" t="s">
        <v>123</v>
      </c>
      <c r="E14" s="114">
        <v>2000</v>
      </c>
      <c r="F14" s="114">
        <v>3000</v>
      </c>
      <c r="G14" s="114">
        <v>1200</v>
      </c>
      <c r="H14" s="114">
        <v>1000</v>
      </c>
      <c r="I14" s="114"/>
      <c r="J14" s="114"/>
      <c r="K14" s="114"/>
      <c r="L14" s="114"/>
      <c r="M14" s="116"/>
      <c r="N14" s="1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99"/>
      <c r="C15" s="1"/>
      <c r="D15" s="1" t="s">
        <v>124</v>
      </c>
      <c r="E15" s="114">
        <v>2000</v>
      </c>
      <c r="F15" s="114">
        <v>380</v>
      </c>
      <c r="G15" s="114">
        <v>260</v>
      </c>
      <c r="H15" s="114">
        <v>140</v>
      </c>
      <c r="I15" s="114"/>
      <c r="J15" s="114"/>
      <c r="K15" s="114"/>
      <c r="L15" s="114"/>
      <c r="M15" s="116"/>
      <c r="N15" s="1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99"/>
      <c r="C16" s="1"/>
      <c r="D16" s="1" t="s">
        <v>133</v>
      </c>
      <c r="E16" s="114">
        <v>2000</v>
      </c>
      <c r="F16" s="114">
        <v>300</v>
      </c>
      <c r="G16" s="114">
        <v>200</v>
      </c>
      <c r="H16" s="114">
        <v>100</v>
      </c>
      <c r="I16" s="114"/>
      <c r="J16" s="114"/>
      <c r="K16" s="114"/>
      <c r="L16" s="114"/>
      <c r="M16" s="116"/>
      <c r="N16" s="1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99"/>
      <c r="C17" s="1"/>
      <c r="D17" s="1" t="s">
        <v>134</v>
      </c>
      <c r="E17" s="114">
        <v>2000</v>
      </c>
      <c r="F17" s="114">
        <v>360</v>
      </c>
      <c r="G17" s="114">
        <v>220</v>
      </c>
      <c r="H17" s="114">
        <v>110</v>
      </c>
      <c r="I17" s="114"/>
      <c r="J17" s="114"/>
      <c r="K17" s="114"/>
      <c r="L17" s="114"/>
      <c r="M17" s="116"/>
      <c r="N17" s="1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99"/>
      <c r="C18" s="1"/>
      <c r="D18" s="1" t="s">
        <v>10</v>
      </c>
      <c r="E18" s="114">
        <v>2000</v>
      </c>
      <c r="F18" s="114">
        <v>380</v>
      </c>
      <c r="G18" s="114">
        <v>260</v>
      </c>
      <c r="H18" s="114">
        <v>140</v>
      </c>
      <c r="I18" s="114"/>
      <c r="J18" s="114"/>
      <c r="K18" s="114"/>
      <c r="L18" s="114"/>
      <c r="M18" s="116"/>
      <c r="N18" s="1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99"/>
      <c r="C19" s="1"/>
      <c r="D19" s="1"/>
      <c r="E19" s="114"/>
      <c r="F19" s="114"/>
      <c r="G19" s="114"/>
      <c r="H19" s="114"/>
      <c r="I19" s="114"/>
      <c r="J19" s="114"/>
      <c r="K19" s="114"/>
      <c r="L19" s="114"/>
      <c r="M19" s="116"/>
      <c r="N19" s="11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99"/>
      <c r="C20" s="1"/>
      <c r="D20" s="1"/>
      <c r="E20" s="114"/>
      <c r="F20" s="114"/>
      <c r="G20" s="114"/>
      <c r="H20" s="114"/>
      <c r="I20" s="114"/>
      <c r="J20" s="114"/>
      <c r="K20" s="114"/>
      <c r="L20" s="114"/>
      <c r="M20" s="116"/>
      <c r="N20" s="1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99"/>
      <c r="C21" s="1"/>
      <c r="D21" s="1"/>
      <c r="E21" s="114"/>
      <c r="F21" s="114"/>
      <c r="G21" s="114"/>
      <c r="H21" s="114"/>
      <c r="I21" s="114"/>
      <c r="J21" s="114"/>
      <c r="K21" s="114"/>
      <c r="L21" s="114"/>
      <c r="M21" s="116"/>
      <c r="N21" s="1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99"/>
      <c r="C22" s="1"/>
      <c r="D22" s="1"/>
      <c r="E22" s="114"/>
      <c r="F22" s="114"/>
      <c r="G22" s="114"/>
      <c r="H22" s="114"/>
      <c r="I22" s="114"/>
      <c r="J22" s="114"/>
      <c r="K22" s="114"/>
      <c r="L22" s="114"/>
      <c r="M22" s="116"/>
      <c r="N22" s="1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99"/>
      <c r="C23" s="1"/>
      <c r="D23" s="1"/>
      <c r="E23" s="114"/>
      <c r="F23" s="114"/>
      <c r="G23" s="114"/>
      <c r="H23" s="114"/>
      <c r="I23" s="114"/>
      <c r="J23" s="114"/>
      <c r="K23" s="114"/>
      <c r="L23" s="114"/>
      <c r="M23" s="116"/>
      <c r="N23" s="11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99"/>
      <c r="C24" s="1"/>
      <c r="D24" s="1"/>
      <c r="E24" s="114"/>
      <c r="F24" s="114"/>
      <c r="G24" s="114"/>
      <c r="H24" s="114"/>
      <c r="I24" s="114"/>
      <c r="J24" s="114"/>
      <c r="K24" s="114"/>
      <c r="L24" s="114"/>
      <c r="M24" s="116"/>
      <c r="N24" s="1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99"/>
      <c r="C25" s="1"/>
      <c r="D25" s="1"/>
      <c r="E25" s="114"/>
      <c r="F25" s="114"/>
      <c r="G25" s="114"/>
      <c r="H25" s="114"/>
      <c r="I25" s="114"/>
      <c r="J25" s="114"/>
      <c r="K25" s="114"/>
      <c r="L25" s="114"/>
      <c r="M25" s="116"/>
      <c r="N25" s="11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99"/>
      <c r="C26" s="1"/>
      <c r="D26" s="1"/>
      <c r="E26" s="114"/>
      <c r="F26" s="114"/>
      <c r="G26" s="114"/>
      <c r="H26" s="114"/>
      <c r="I26" s="114"/>
      <c r="J26" s="114"/>
      <c r="K26" s="114"/>
      <c r="L26" s="114"/>
      <c r="M26" s="116"/>
      <c r="N26" s="1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99"/>
      <c r="C27" s="1"/>
      <c r="D27" s="1"/>
      <c r="E27" s="114"/>
      <c r="F27" s="114"/>
      <c r="G27" s="114"/>
      <c r="H27" s="114"/>
      <c r="I27" s="114"/>
      <c r="J27" s="114"/>
      <c r="K27" s="114"/>
      <c r="L27" s="114"/>
      <c r="M27" s="116"/>
      <c r="N27" s="1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99"/>
      <c r="C28" s="1"/>
      <c r="D28" s="1"/>
      <c r="E28" s="114"/>
      <c r="F28" s="114"/>
      <c r="G28" s="114"/>
      <c r="H28" s="114"/>
      <c r="I28" s="114"/>
      <c r="J28" s="114"/>
      <c r="K28" s="114"/>
      <c r="L28" s="114"/>
      <c r="M28" s="116"/>
      <c r="N28" s="1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99"/>
      <c r="C29" s="1"/>
      <c r="D29" s="1"/>
      <c r="E29" s="114"/>
      <c r="F29" s="114"/>
      <c r="G29" s="114"/>
      <c r="H29" s="114"/>
      <c r="I29" s="114"/>
      <c r="J29" s="114"/>
      <c r="K29" s="114"/>
      <c r="L29" s="114"/>
      <c r="M29" s="116"/>
      <c r="N29" s="11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99"/>
      <c r="C30" s="1"/>
      <c r="D30" s="1"/>
      <c r="E30" s="114"/>
      <c r="F30" s="114"/>
      <c r="G30" s="114"/>
      <c r="H30" s="114"/>
      <c r="I30" s="114"/>
      <c r="J30" s="114"/>
      <c r="K30" s="114"/>
      <c r="L30" s="114"/>
      <c r="M30" s="116"/>
      <c r="N30" s="11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19">
        <f>IF(LEFT(A4,2)="pr",+0.08,(+A7*0.0003571)+0.08)</f>
        <v>0.1178526</v>
      </c>
      <c r="C32" s="120" t="s">
        <v>135</v>
      </c>
      <c r="D32" s="98"/>
      <c r="E32" s="119">
        <f>IF(LEFT(A4,2)="pr",+0.08,(A8*0.0003571)+0.08)</f>
        <v>0.10499700000000001</v>
      </c>
      <c r="F32" s="98" t="s">
        <v>136</v>
      </c>
      <c r="G32" s="98"/>
      <c r="H32" s="9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12" t="s">
        <v>137</v>
      </c>
      <c r="C33" s="120">
        <f>IF(C8&gt;80,E33,F33)</f>
        <v>0.10825</v>
      </c>
      <c r="D33" s="98"/>
      <c r="E33" s="120">
        <f>(+A8*0.00105)+0.095</f>
        <v>0.16849999999999998</v>
      </c>
      <c r="F33" s="120">
        <f>(+A8*0.000725)+0.0575</f>
        <v>0.10825</v>
      </c>
      <c r="G33" s="120">
        <f>(+A8*0.0008875)+0.07625</f>
        <v>0.138375</v>
      </c>
      <c r="H33" s="1">
        <f>0.06*(+A8-100)/100</f>
        <v>-0.018</v>
      </c>
      <c r="I33" s="1">
        <f>IF(H33&lt;0.05,0.05,H33)</f>
        <v>0.05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"/>
      <c r="B34" s="99" t="str">
        <f>A!F21</f>
        <v>Y</v>
      </c>
      <c r="C34" s="115">
        <f>IF(B34="Y",C33,IF(B34="N",G33,IF(B34="T814",I33,1)))</f>
        <v>0.10825</v>
      </c>
      <c r="D34" s="1"/>
      <c r="E34" s="121" t="s">
        <v>138</v>
      </c>
      <c r="F34" s="121" t="s">
        <v>139</v>
      </c>
      <c r="G34" s="121" t="s">
        <v>140</v>
      </c>
      <c r="H34" s="1"/>
      <c r="I34" s="9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"/>
      <c r="B35" s="112"/>
      <c r="C35" s="98"/>
      <c r="D35" s="98" t="s">
        <v>141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  <c r="V35" s="1"/>
      <c r="W35" s="1"/>
      <c r="X35" s="1"/>
      <c r="Y35" s="1"/>
      <c r="Z35" s="1"/>
      <c r="AA35" s="1"/>
    </row>
    <row r="36" spans="1:27" ht="15">
      <c r="A36" s="1"/>
      <c r="B36" s="116" t="s">
        <v>142</v>
      </c>
      <c r="C36" s="122">
        <f>((+A7-A8)*0.5)</f>
        <v>18</v>
      </c>
      <c r="D36" s="117">
        <v>1.03</v>
      </c>
      <c r="E36" s="114" t="s">
        <v>143</v>
      </c>
      <c r="F36" s="123" t="str">
        <f>HLOOKUP(C36,D37:T40,3)</f>
        <v>TOO THICK</v>
      </c>
      <c r="G36" s="114">
        <f>IF(A!C5="T14",HLOOKUP(C36,D37:H40,4),IF(A!C5="T11",HLOOKUP(C36,D37:H40,4),IF(A!C5="T12",HLOOKUP(C36,D37:H40,4),1)))</f>
        <v>1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"/>
      <c r="U36" s="99"/>
      <c r="V36" s="1"/>
      <c r="W36" s="1"/>
      <c r="X36" s="1"/>
      <c r="Y36" s="1"/>
      <c r="Z36" s="1"/>
      <c r="AA36" s="1"/>
    </row>
    <row r="37" spans="1:27" ht="15">
      <c r="A37" s="1"/>
      <c r="B37" s="116" t="s">
        <v>144</v>
      </c>
      <c r="C37" s="122">
        <f>(+A8*0.05)+2.5</f>
        <v>6</v>
      </c>
      <c r="D37" s="114">
        <v>0</v>
      </c>
      <c r="E37" s="114">
        <f>C38*0.03+1.5</f>
        <v>3.6</v>
      </c>
      <c r="F37" s="114">
        <f>C38*0.04+1.9</f>
        <v>4.7</v>
      </c>
      <c r="G37" s="114">
        <f>C38*0.04+2</f>
        <v>4.800000000000001</v>
      </c>
      <c r="H37" s="114">
        <f>C38*0.05+2.5</f>
        <v>6</v>
      </c>
      <c r="I37" s="114">
        <f>C38*0.055+2.75</f>
        <v>6.6</v>
      </c>
      <c r="J37" s="114">
        <f>C38*0.06+3</f>
        <v>7.2</v>
      </c>
      <c r="K37" s="114">
        <f>C38*0.065+3.25</f>
        <v>7.8</v>
      </c>
      <c r="L37" s="114">
        <f>C38*0.07+3.5</f>
        <v>8.4</v>
      </c>
      <c r="M37" s="114">
        <f>C38*0.075+3.75</f>
        <v>9</v>
      </c>
      <c r="N37" s="114">
        <f>C38*0.08+4</f>
        <v>9.600000000000001</v>
      </c>
      <c r="O37" s="114">
        <f>C38*0.085+4.25</f>
        <v>10.2</v>
      </c>
      <c r="P37" s="114">
        <f>C38*0.09+4.5</f>
        <v>10.8</v>
      </c>
      <c r="Q37" s="114">
        <f>C38*0.095+4.75</f>
        <v>11.4</v>
      </c>
      <c r="R37" s="114">
        <f>C38*0.1+5</f>
        <v>12</v>
      </c>
      <c r="S37" s="114">
        <f>C38*0.11+5.5</f>
        <v>13.2</v>
      </c>
      <c r="T37" s="114">
        <f>C38*0.111+5.5</f>
        <v>13.27</v>
      </c>
      <c r="U37" s="99"/>
      <c r="V37" s="1"/>
      <c r="W37" s="1"/>
      <c r="X37" s="1"/>
      <c r="Y37" s="1"/>
      <c r="Z37" s="1"/>
      <c r="AA37" s="1"/>
    </row>
    <row r="38" spans="1:27" ht="15">
      <c r="A38" s="1"/>
      <c r="B38" s="116" t="s">
        <v>145</v>
      </c>
      <c r="C38" s="114">
        <f>A8</f>
        <v>70</v>
      </c>
      <c r="D38" s="114">
        <v>1.004</v>
      </c>
      <c r="E38" s="114">
        <v>1.003</v>
      </c>
      <c r="F38" s="114">
        <v>1.002</v>
      </c>
      <c r="G38" s="114">
        <v>1.001</v>
      </c>
      <c r="H38" s="114">
        <v>1</v>
      </c>
      <c r="I38" s="114">
        <v>0.95</v>
      </c>
      <c r="J38" s="114">
        <v>0.9</v>
      </c>
      <c r="K38" s="114">
        <v>0.85</v>
      </c>
      <c r="L38" s="114">
        <v>0.8</v>
      </c>
      <c r="M38" s="114">
        <v>0.75</v>
      </c>
      <c r="N38" s="114">
        <v>0.7</v>
      </c>
      <c r="O38" s="114">
        <v>0.65</v>
      </c>
      <c r="P38" s="114">
        <v>0.6</v>
      </c>
      <c r="Q38" s="114">
        <v>0.55</v>
      </c>
      <c r="R38" s="114">
        <v>0.5</v>
      </c>
      <c r="S38" s="114">
        <v>0.5</v>
      </c>
      <c r="T38" s="114">
        <v>0.5</v>
      </c>
      <c r="U38" s="99"/>
      <c r="V38" s="1"/>
      <c r="W38" s="1"/>
      <c r="X38" s="1"/>
      <c r="Y38" s="1"/>
      <c r="Z38" s="1"/>
      <c r="AA38" s="1"/>
    </row>
    <row r="39" spans="1:27" ht="15">
      <c r="A39" s="1"/>
      <c r="B39" s="116"/>
      <c r="C39" s="114"/>
      <c r="D39" s="124" t="s">
        <v>146</v>
      </c>
      <c r="E39" s="114" t="s">
        <v>147</v>
      </c>
      <c r="F39" s="114" t="s">
        <v>148</v>
      </c>
      <c r="G39" s="114" t="s">
        <v>148</v>
      </c>
      <c r="H39" s="114" t="s">
        <v>148</v>
      </c>
      <c r="I39" s="114" t="s">
        <v>148</v>
      </c>
      <c r="J39" s="114" t="s">
        <v>148</v>
      </c>
      <c r="K39" s="114" t="s">
        <v>148</v>
      </c>
      <c r="L39" s="114" t="s">
        <v>148</v>
      </c>
      <c r="M39" s="114" t="s">
        <v>148</v>
      </c>
      <c r="N39" s="114" t="s">
        <v>148</v>
      </c>
      <c r="O39" s="114" t="s">
        <v>148</v>
      </c>
      <c r="P39" s="114" t="s">
        <v>148</v>
      </c>
      <c r="Q39" s="114" t="s">
        <v>148</v>
      </c>
      <c r="R39" s="114" t="s">
        <v>148</v>
      </c>
      <c r="S39" s="114" t="s">
        <v>148</v>
      </c>
      <c r="T39" s="114" t="s">
        <v>149</v>
      </c>
      <c r="U39" s="99"/>
      <c r="V39" s="1"/>
      <c r="W39" s="1"/>
      <c r="X39" s="1"/>
      <c r="Y39" s="1"/>
      <c r="Z39" s="1"/>
      <c r="AA39" s="1"/>
    </row>
    <row r="40" spans="1:27" ht="15">
      <c r="A40" s="1"/>
      <c r="B40" s="99" t="s">
        <v>150</v>
      </c>
      <c r="C40" s="1"/>
      <c r="D40" s="1">
        <v>1.251</v>
      </c>
      <c r="E40" s="114">
        <v>1.25</v>
      </c>
      <c r="F40" s="114">
        <v>1.1</v>
      </c>
      <c r="G40" s="114">
        <v>1.05</v>
      </c>
      <c r="H40" s="114">
        <v>1</v>
      </c>
      <c r="I40" s="114">
        <v>1</v>
      </c>
      <c r="J40" s="114">
        <v>1</v>
      </c>
      <c r="K40" s="114">
        <v>1</v>
      </c>
      <c r="L40" s="114">
        <v>1</v>
      </c>
      <c r="M40" s="114">
        <v>1</v>
      </c>
      <c r="N40" s="114">
        <v>1</v>
      </c>
      <c r="O40" s="114">
        <v>1</v>
      </c>
      <c r="P40" s="114">
        <v>1</v>
      </c>
      <c r="Q40" s="114">
        <v>1</v>
      </c>
      <c r="R40" s="114">
        <v>1</v>
      </c>
      <c r="S40" s="114">
        <v>1</v>
      </c>
      <c r="T40" s="114">
        <v>1</v>
      </c>
      <c r="U40" s="99"/>
      <c r="V40" s="1"/>
      <c r="W40" s="1"/>
      <c r="X40" s="1"/>
      <c r="Y40" s="1"/>
      <c r="Z40" s="1"/>
      <c r="AA40" s="1"/>
    </row>
    <row r="41" spans="1:27" ht="15">
      <c r="A41" s="1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"/>
      <c r="V41" s="1"/>
      <c r="W41" s="1"/>
      <c r="X41" s="1"/>
      <c r="Y41" s="1"/>
      <c r="Z41" s="1"/>
      <c r="AA41" s="1"/>
    </row>
    <row r="42" spans="1:2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"/>
      <c r="B44" s="1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"/>
      <c r="B48" s="1"/>
      <c r="C48" s="1"/>
      <c r="D48" s="8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"/>
      <c r="B49" s="1"/>
      <c r="C49" s="1"/>
      <c r="D49" s="8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"/>
      <c r="B50" s="1"/>
      <c r="C50" s="1"/>
      <c r="D50" s="1"/>
      <c r="E50" s="1"/>
      <c r="F50" s="1"/>
      <c r="G50" s="1"/>
      <c r="H50" s="1"/>
      <c r="I50" s="1"/>
      <c r="J50" s="85"/>
      <c r="K50" s="8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5"/>
    </row>
  </sheetData>
  <printOptions/>
  <pageMargins left="0.5" right="0.5" top="0.5" bottom="0.5826388888888889" header="0.5" footer="0.5"/>
  <pageSetup orientation="portrait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Mr.Himanshu Sheth</cp:lastModifiedBy>
  <dcterms:created xsi:type="dcterms:W3CDTF">2003-11-28T10:51:03Z</dcterms:created>
  <dcterms:modified xsi:type="dcterms:W3CDTF">2003-12-07T07:23:43Z</dcterms:modified>
  <cp:category/>
  <cp:version/>
  <cp:contentType/>
  <cp:contentStatus/>
</cp:coreProperties>
</file>